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icrosoft-my.sharepoint.com/personal/v-saolson_microsoft_com/Documents/Documents/"/>
    </mc:Choice>
  </mc:AlternateContent>
  <xr:revisionPtr revIDLastSave="0" documentId="8_{8BE7BD9A-1B2D-468C-802A-580AC573E820}" xr6:coauthVersionLast="47" xr6:coauthVersionMax="47" xr10:uidLastSave="{00000000-0000-0000-0000-000000000000}"/>
  <bookViews>
    <workbookView xWindow="30630" yWindow="1830" windowWidth="21600" windowHeight="11235" tabRatio="722" xr2:uid="{4DC06B89-CBB8-4A81-9140-BB94BAB1C97B}"/>
  </bookViews>
  <sheets>
    <sheet name="Disclaimer" sheetId="5" r:id="rId1"/>
    <sheet name="Overview of Migration Offers" sheetId="8" r:id="rId2"/>
    <sheet name="Offer Calculator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6" l="1"/>
  <c r="B22" i="6"/>
  <c r="B21" i="6"/>
  <c r="U26" i="6"/>
  <c r="C11" i="6"/>
  <c r="U27" i="6" s="1"/>
  <c r="C9" i="6"/>
  <c r="U25" i="6" s="1"/>
  <c r="C8" i="6"/>
  <c r="U24" i="6" s="1"/>
  <c r="U9" i="6" l="1"/>
  <c r="U29" i="6"/>
  <c r="I6" i="6" s="1"/>
  <c r="U10" i="6" l="1"/>
  <c r="U11" i="6" s="1"/>
  <c r="U7" i="6"/>
  <c r="U6" i="6" s="1"/>
  <c r="U8" i="6" s="1"/>
  <c r="I9" i="6"/>
  <c r="I12" i="6"/>
  <c r="J9" i="6" l="1"/>
  <c r="I14" i="6"/>
  <c r="W14" i="6" s="1"/>
  <c r="I5" i="6"/>
  <c r="I7" i="6"/>
  <c r="H9" i="6"/>
  <c r="I10" i="6"/>
  <c r="G6" i="6"/>
  <c r="G9" i="6"/>
  <c r="G18" i="6" l="1"/>
  <c r="I27" i="6"/>
  <c r="I25" i="6"/>
  <c r="I24" i="6"/>
  <c r="I21" i="6"/>
  <c r="I20" i="6"/>
  <c r="I26" i="6" s="1"/>
  <c r="I19" i="6"/>
  <c r="I18" i="6"/>
  <c r="G21" i="6"/>
  <c r="G20" i="6"/>
  <c r="G26" i="6" s="1"/>
  <c r="G10" i="6"/>
  <c r="G7" i="6" s="1"/>
  <c r="G19" i="6" s="1"/>
  <c r="H6" i="6"/>
  <c r="H12" i="6" s="1"/>
  <c r="J6" i="6"/>
  <c r="J12" i="6" s="1"/>
  <c r="I15" i="6"/>
  <c r="W15" i="6" s="1"/>
  <c r="J10" i="6"/>
  <c r="H10" i="6"/>
  <c r="G14" i="6"/>
  <c r="U14" i="6" s="1"/>
  <c r="I17" i="6" l="1"/>
  <c r="W18" i="6" s="1"/>
  <c r="I23" i="6"/>
  <c r="W19" i="6" s="1"/>
  <c r="G17" i="6"/>
  <c r="U18" i="6" s="1"/>
  <c r="H5" i="6"/>
  <c r="J5" i="6"/>
  <c r="H7" i="6"/>
  <c r="J7" i="6"/>
  <c r="G15" i="6"/>
  <c r="U15" i="6" s="1"/>
  <c r="H27" i="6" l="1"/>
  <c r="H25" i="6"/>
  <c r="J27" i="6"/>
  <c r="J25" i="6"/>
  <c r="G25" i="6"/>
  <c r="G27" i="6"/>
  <c r="H24" i="6"/>
  <c r="H21" i="6"/>
  <c r="H20" i="6"/>
  <c r="H26" i="6" s="1"/>
  <c r="H19" i="6"/>
  <c r="H18" i="6"/>
  <c r="J24" i="6"/>
  <c r="J21" i="6"/>
  <c r="J20" i="6"/>
  <c r="J26" i="6" s="1"/>
  <c r="J19" i="6"/>
  <c r="J18" i="6"/>
  <c r="G24" i="6"/>
  <c r="H14" i="6"/>
  <c r="V14" i="6" s="1"/>
  <c r="H15" i="6"/>
  <c r="V15" i="6" s="1"/>
  <c r="J14" i="6"/>
  <c r="X14" i="6" s="1"/>
  <c r="J15" i="6"/>
  <c r="X15" i="6" s="1"/>
  <c r="J17" i="6" l="1"/>
  <c r="X18" i="6" s="1"/>
  <c r="H17" i="6"/>
  <c r="V18" i="6" s="1"/>
  <c r="H23" i="6"/>
  <c r="V19" i="6" s="1"/>
  <c r="J23" i="6"/>
  <c r="X19" i="6" s="1"/>
  <c r="G23" i="6"/>
  <c r="U1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tc={26356ED3-B939-4467-B8DE-15BC3483445B}</author>
    <author>tc={9DD1596C-F52D-491D-B8AE-91ACCD740106}</author>
    <author>tc={CA5119F6-9388-4599-83F6-60BC9F6A7603}</author>
  </authors>
  <commentList>
    <comment ref="F6" authorId="0" shapeId="0" xr:uid="{26356ED3-B939-4467-B8DE-15BC3483445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dictates the Voucher/ECIF Funding</t>
      </text>
    </comment>
    <comment ref="A15" authorId="1" shapeId="0" xr:uid="{9DD1596C-F52D-491D-B8AE-91ACCD740106}">
      <text>
        <t>[Threaded comment]
Your version of Excel allows you to read this threaded comment; however, any edits to it will get removed if the file is opened in a newer version of Excel. Learn more: https://go.microsoft.com/fwlink/?linkid=870924
Comment:
    # of Months between first and second licence transaction events. For example, if customer buys 10% of licences and then wait 6 months to buy remaining licences. Enter 6 and 10%.
0 and 100% means upfront payment.</t>
      </text>
    </comment>
    <comment ref="A31" authorId="2" shapeId="0" xr:uid="{CA5119F6-9388-4599-83F6-60BC9F6A760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are default amounts - It may change on a case by case basis</t>
      </text>
    </comment>
  </commentList>
</comments>
</file>

<file path=xl/sharedStrings.xml><?xml version="1.0" encoding="utf-8"?>
<sst xmlns="http://schemas.openxmlformats.org/spreadsheetml/2006/main" count="79" uniqueCount="64">
  <si>
    <r>
      <t>This calculator is for estimation purposes only and does not reflect actual earnings. </t>
    </r>
    <r>
      <rPr>
        <b/>
        <sz val="16"/>
        <color rgb="FF000000"/>
        <rFont val="Aptos"/>
        <family val="2"/>
      </rPr>
      <t>Prices may vary by SKU and number of licenses</t>
    </r>
    <r>
      <rPr>
        <b/>
        <sz val="16"/>
        <color rgb="FF242424"/>
        <rFont val="Aptos"/>
        <family val="2"/>
      </rPr>
      <t>. The estimates should be regarded only as guidance and do not provide any guarantee of performance on the part of Microsoft. Incentives terms are subject to change. This </t>
    </r>
    <r>
      <rPr>
        <b/>
        <sz val="16"/>
        <color rgb="FF000000"/>
        <rFont val="Aptos"/>
        <family val="2"/>
      </rPr>
      <t>Business Central Deployment Offer Calculator</t>
    </r>
    <r>
      <rPr>
        <b/>
        <sz val="16"/>
        <color rgb="FF242424"/>
        <rFont val="Aptos"/>
        <family val="2"/>
      </rPr>
      <t> is Microsoft Confidential and is intended for use by Microsoft representatives and/or Microsoft partners with access to Partner Center.</t>
    </r>
  </si>
  <si>
    <t>Business Central SKUs</t>
  </si>
  <si>
    <t>Seat Count</t>
  </si>
  <si>
    <t>Price</t>
  </si>
  <si>
    <t>Premium</t>
  </si>
  <si>
    <t>Essential</t>
  </si>
  <si>
    <t>Team Member</t>
  </si>
  <si>
    <t>BTTC Discount</t>
  </si>
  <si>
    <t>Partner to Customer Discount</t>
  </si>
  <si>
    <t>Default Partner Margin</t>
  </si>
  <si>
    <t>Device</t>
  </si>
  <si>
    <t>BTTC2</t>
  </si>
  <si>
    <t>BTTC2 + DV</t>
  </si>
  <si>
    <t>Migration Voucher</t>
  </si>
  <si>
    <t>Database and Environment</t>
  </si>
  <si>
    <t>Pre Oct 1</t>
  </si>
  <si>
    <t>% of Licences both Upfront</t>
  </si>
  <si>
    <t>Ramp Months</t>
  </si>
  <si>
    <t xml:space="preserve">12 Month List Price </t>
  </si>
  <si>
    <t>1Y Licence Cost to Customer  with BTTC2 - Ramp</t>
  </si>
  <si>
    <t>Monthly Licence Cost with BTTC2 - Ramp</t>
  </si>
  <si>
    <t>MSFT Billed Revenue - 1st year - Ramp</t>
  </si>
  <si>
    <t xml:space="preserve">1Y Licence Cost to Customer  with BTTC2 </t>
  </si>
  <si>
    <t>MSFT Billed Revenue - 1st year BTTC2</t>
  </si>
  <si>
    <t>Eligible</t>
  </si>
  <si>
    <t>Model Calcs</t>
  </si>
  <si>
    <t>Margin</t>
  </si>
  <si>
    <t>CSP Base Incentive</t>
  </si>
  <si>
    <t>CSP Customer Add Incentive</t>
  </si>
  <si>
    <t>CSP Business Central Accelerator</t>
  </si>
  <si>
    <t>BTTC2 +  Strategic ECIF</t>
  </si>
  <si>
    <t xml:space="preserve"> Voucher / ECIF $</t>
  </si>
  <si>
    <t>DV Deal Eligibility</t>
  </si>
  <si>
    <t>MV Deal Eligibility</t>
  </si>
  <si>
    <t>Strategic ECIF Eligibility</t>
  </si>
  <si>
    <t>Model Inputs</t>
  </si>
  <si>
    <t>Program Thresholds</t>
  </si>
  <si>
    <t>Step 1 - Select Date. Pre or Post Oct 1 Prices</t>
  </si>
  <si>
    <t>DV</t>
  </si>
  <si>
    <t xml:space="preserve">MV </t>
  </si>
  <si>
    <t>Strategic ECIF</t>
  </si>
  <si>
    <t>Only Impacts BTTC2 Scenario (with No Funding)</t>
  </si>
  <si>
    <t>Partner Incentives</t>
  </si>
  <si>
    <t>Deal Inputs</t>
  </si>
  <si>
    <t>Yes</t>
  </si>
  <si>
    <t>Step 2 - Select if you have BizApps Solution Designation</t>
  </si>
  <si>
    <t>MV Earning Cap</t>
  </si>
  <si>
    <t>DV Earning Cap</t>
  </si>
  <si>
    <t>Billed Revenue to MSFT 3Y Total</t>
  </si>
  <si>
    <t>Licence Cost to Customer 3Y Total</t>
  </si>
  <si>
    <t>Licence Cost to Customer Year 1</t>
  </si>
  <si>
    <t>Customer Cash Flow - Post Voucher Year 1</t>
  </si>
  <si>
    <t>Customer Cash Flow - Post Voucher 3Y Total</t>
  </si>
  <si>
    <t>Partner Earnings from MSFT Year 1</t>
  </si>
  <si>
    <t>Partner Earnings from MSFT 3Y Total</t>
  </si>
  <si>
    <t>Year 1</t>
  </si>
  <si>
    <t>3Y Total</t>
  </si>
  <si>
    <t>ECIF/Vaucher Amounts. As % of ACV/Billed Revenue to MSFT</t>
  </si>
  <si>
    <t>This model assumes BTTC2 specific eligibilities are met. Pls refer to policy guide for details.</t>
  </si>
  <si>
    <t>Billed Revenue to MSFT Year 1 (ACV)</t>
  </si>
  <si>
    <t>Step 3 - Enter Deal Inputs. Change Red Numbers. Use Total $ for Database &amp; Environment</t>
  </si>
  <si>
    <t>Step 4 - Compare options. Pay attention to Customer cash flow and Partner earnings to adjust for best sceneario.</t>
  </si>
  <si>
    <t>CSP Customer Add/Growth Accelerator</t>
  </si>
  <si>
    <t>CSP Business Central Strategic Accelerator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</si>
</sst>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&quot;$&quot;#,##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b/>
      <sz val="16"/>
      <color rgb="FF242424"/>
      <name val="Aptos"/>
      <family val="2"/>
    </font>
    <font>
      <b/>
      <sz val="16"/>
      <color rgb="FF000000"/>
      <name val="Aptos"/>
      <family val="2"/>
    </font>
    <font>
      <b/>
      <sz val="11"/>
      <color theme="1"/>
      <name val="Aptos Narrow"/>
      <family val="2"/>
      <scheme val="minor"/>
    </font>
    <font>
      <sz val="11"/>
      <color theme="0"/>
      <name val="Calibri"/>
      <family val="2"/>
    </font>
    <font>
      <b/>
      <sz val="11"/>
      <color rgb="FFEE0000"/>
      <name val="Calibri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9" fillId="2" borderId="0" xfId="0" applyFont="1" applyFill="1"/>
    <xf numFmtId="0" fontId="5" fillId="4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5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4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6" xfId="0" applyFont="1" applyFill="1" applyBorder="1"/>
    <xf numFmtId="0" fontId="2" fillId="2" borderId="3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5" fontId="4" fillId="2" borderId="0" xfId="0" applyNumberFormat="1" applyFont="1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indent="1"/>
    </xf>
    <xf numFmtId="164" fontId="3" fillId="5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  <protection hidden="1"/>
    </xf>
    <xf numFmtId="9" fontId="3" fillId="2" borderId="1" xfId="0" applyNumberFormat="1" applyFont="1" applyFill="1" applyBorder="1" applyAlignment="1" applyProtection="1">
      <alignment horizontal="center"/>
      <protection hidden="1"/>
    </xf>
    <xf numFmtId="10" fontId="3" fillId="2" borderId="1" xfId="2" applyNumberFormat="1" applyFont="1" applyFill="1" applyBorder="1" applyAlignment="1" applyProtection="1">
      <alignment horizontal="center"/>
      <protection hidden="1"/>
    </xf>
    <xf numFmtId="164" fontId="3" fillId="2" borderId="1" xfId="1" applyNumberFormat="1" applyFont="1" applyFill="1" applyBorder="1" applyAlignment="1" applyProtection="1">
      <alignment vertical="center"/>
      <protection hidden="1"/>
    </xf>
    <xf numFmtId="9" fontId="3" fillId="2" borderId="2" xfId="0" applyNumberFormat="1" applyFont="1" applyFill="1" applyBorder="1" applyAlignment="1" applyProtection="1">
      <alignment horizontal="center"/>
      <protection hidden="1"/>
    </xf>
    <xf numFmtId="164" fontId="3" fillId="2" borderId="0" xfId="0" applyNumberFormat="1" applyFont="1" applyFill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164" fontId="2" fillId="2" borderId="0" xfId="0" applyNumberFormat="1" applyFont="1" applyFill="1" applyAlignment="1" applyProtection="1">
      <alignment horizontal="center"/>
      <protection hidden="1"/>
    </xf>
    <xf numFmtId="164" fontId="3" fillId="2" borderId="0" xfId="0" applyNumberFormat="1" applyFont="1" applyFill="1" applyProtection="1">
      <protection hidden="1"/>
    </xf>
    <xf numFmtId="0" fontId="5" fillId="2" borderId="0" xfId="0" applyFont="1" applyFill="1"/>
    <xf numFmtId="0" fontId="10" fillId="2" borderId="0" xfId="0" applyFont="1" applyFill="1" applyAlignment="1">
      <alignment horizontal="center"/>
    </xf>
    <xf numFmtId="0" fontId="13" fillId="2" borderId="0" xfId="0" applyFont="1" applyFill="1"/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5" fillId="2" borderId="0" xfId="0" applyFont="1" applyFill="1" applyAlignment="1">
      <alignment horizontal="center"/>
    </xf>
    <xf numFmtId="0" fontId="12" fillId="2" borderId="0" xfId="0" applyFont="1" applyFill="1"/>
    <xf numFmtId="164" fontId="10" fillId="2" borderId="0" xfId="0" applyNumberFormat="1" applyFont="1" applyFill="1"/>
    <xf numFmtId="164" fontId="5" fillId="2" borderId="0" xfId="0" applyNumberFormat="1" applyFont="1" applyFill="1" applyAlignment="1">
      <alignment horizontal="center"/>
    </xf>
    <xf numFmtId="0" fontId="11" fillId="2" borderId="0" xfId="0" applyFont="1" applyFill="1" applyAlignment="1" applyProtection="1">
      <alignment horizontal="center"/>
      <protection locked="0"/>
    </xf>
    <xf numFmtId="37" fontId="11" fillId="2" borderId="0" xfId="0" applyNumberFormat="1" applyFont="1" applyFill="1" applyAlignment="1" applyProtection="1">
      <alignment horizontal="center"/>
      <protection locked="0"/>
    </xf>
    <xf numFmtId="164" fontId="11" fillId="0" borderId="0" xfId="0" applyNumberFormat="1" applyFont="1" applyAlignment="1" applyProtection="1">
      <alignment horizontal="center"/>
      <protection locked="0"/>
    </xf>
    <xf numFmtId="9" fontId="11" fillId="2" borderId="0" xfId="2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9" fontId="11" fillId="2" borderId="4" xfId="0" applyNumberFormat="1" applyFont="1" applyFill="1" applyBorder="1" applyAlignment="1" applyProtection="1">
      <alignment horizontal="center"/>
      <protection locked="0"/>
    </xf>
    <xf numFmtId="9" fontId="3" fillId="2" borderId="0" xfId="0" applyNumberFormat="1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7" fillId="3" borderId="0" xfId="0" applyFont="1" applyFill="1" applyAlignment="1" applyProtection="1">
      <alignment wrapText="1"/>
      <protection hidden="1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Customer Cash Flow</a:t>
            </a:r>
            <a:r>
              <a:rPr lang="en-US" baseline="0"/>
              <a:t> - Post Voucher/ECIF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'Offer Calculator'!$T$14</c:f>
              <c:strCache>
                <c:ptCount val="1"/>
                <c:pt idx="0">
                  <c:v>Year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'Offer Calculator'!$U$13:$X$13</c:f>
              <c:strCache>
                <c:ptCount val="4"/>
                <c:pt idx="0">
                  <c:v>BTTC2</c:v>
                </c:pt>
                <c:pt idx="1">
                  <c:v>BTTC2 + DV</c:v>
                </c:pt>
                <c:pt idx="2">
                  <c:v>Migration Voucher</c:v>
                </c:pt>
                <c:pt idx="3">
                  <c:v>BTTC2 +  Strategic ECIF</c:v>
                </c:pt>
              </c:strCache>
            </c:strRef>
          </c:cat>
          <c:val>
            <c:numRef>
              <c:f>'Offer Calculator'!$U$14:$X$14</c:f>
              <c:numCache>
                <c:formatCode>"$"#,##0</c:formatCode>
                <c:ptCount val="4"/>
                <c:pt idx="0">
                  <c:v>74880</c:v>
                </c:pt>
                <c:pt idx="1">
                  <c:v>0</c:v>
                </c:pt>
                <c:pt idx="2">
                  <c:v>18720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4-47D9-97A1-AD094512B2FF}"/>
            </c:ext>
          </c:extLst>
        </c:ser>
        <c:ser>
          <c:idx val="1"/>
          <c:order val="1"/>
          <c:tx>
            <c:strRef>
              <c:f>'Offer Calculator'!$T$15</c:f>
              <c:strCache>
                <c:ptCount val="1"/>
                <c:pt idx="0">
                  <c:v>3Y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'Offer Calculator'!$U$13:$X$13</c:f>
              <c:strCache>
                <c:ptCount val="4"/>
                <c:pt idx="0">
                  <c:v>BTTC2</c:v>
                </c:pt>
                <c:pt idx="1">
                  <c:v>BTTC2 + DV</c:v>
                </c:pt>
                <c:pt idx="2">
                  <c:v>Migration Voucher</c:v>
                </c:pt>
                <c:pt idx="3">
                  <c:v>BTTC2 +  Strategic ECIF</c:v>
                </c:pt>
              </c:strCache>
            </c:strRef>
          </c:cat>
          <c:val>
            <c:numRef>
              <c:f>'Offer Calculator'!$U$15:$X$15</c:f>
              <c:numCache>
                <c:formatCode>"$"#,##0</c:formatCode>
                <c:ptCount val="4"/>
                <c:pt idx="0">
                  <c:v>224640</c:v>
                </c:pt>
                <c:pt idx="1">
                  <c:v>0</c:v>
                </c:pt>
                <c:pt idx="2">
                  <c:v>230880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54-47D9-97A1-AD094512B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0884944"/>
        <c:axId val="2130910384"/>
      </c:barChart>
      <c:catAx>
        <c:axId val="213088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10384"/>
        <c:crosses val="autoZero"/>
        <c:auto val="1"/>
        <c:lblAlgn val="ctr"/>
        <c:lblOffset val="100"/>
        <c:noMultiLvlLbl val="0"/>
      </c:catAx>
      <c:valAx>
        <c:axId val="213091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88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Partner Earnings</a:t>
            </a:r>
            <a:r>
              <a:rPr lang="en-US" baseline="0"/>
              <a:t> from MSFT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'Offer Calculator'!$T$18</c:f>
              <c:strCache>
                <c:ptCount val="1"/>
                <c:pt idx="0">
                  <c:v>Year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'Offer Calculator'!$U$17:$X$17</c:f>
              <c:strCache>
                <c:ptCount val="4"/>
                <c:pt idx="0">
                  <c:v>BTTC2</c:v>
                </c:pt>
                <c:pt idx="1">
                  <c:v>BTTC2 + DV</c:v>
                </c:pt>
                <c:pt idx="2">
                  <c:v>Migration Voucher</c:v>
                </c:pt>
                <c:pt idx="3">
                  <c:v>BTTC2 +  Strategic ECIF</c:v>
                </c:pt>
              </c:strCache>
            </c:strRef>
          </c:cat>
          <c:val>
            <c:numRef>
              <c:f>'Offer Calculator'!$U$18:$X$18</c:f>
              <c:numCache>
                <c:formatCode>"$"#,##0</c:formatCode>
                <c:ptCount val="4"/>
                <c:pt idx="0">
                  <c:v>45658.079999999994</c:v>
                </c:pt>
                <c:pt idx="1">
                  <c:v>0</c:v>
                </c:pt>
                <c:pt idx="2">
                  <c:v>49077.599999999999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0-434E-963C-5A6C81D2440F}"/>
            </c:ext>
          </c:extLst>
        </c:ser>
        <c:ser>
          <c:idx val="1"/>
          <c:order val="1"/>
          <c:tx>
            <c:strRef>
              <c:f>'Offer Calculator'!$T$19</c:f>
              <c:strCache>
                <c:ptCount val="1"/>
                <c:pt idx="0">
                  <c:v>3Y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'Offer Calculator'!$U$17:$X$17</c:f>
              <c:strCache>
                <c:ptCount val="4"/>
                <c:pt idx="0">
                  <c:v>BTTC2</c:v>
                </c:pt>
                <c:pt idx="1">
                  <c:v>BTTC2 + DV</c:v>
                </c:pt>
                <c:pt idx="2">
                  <c:v>Migration Voucher</c:v>
                </c:pt>
                <c:pt idx="3">
                  <c:v>BTTC2 +  Strategic ECIF</c:v>
                </c:pt>
              </c:strCache>
            </c:strRef>
          </c:cat>
          <c:val>
            <c:numRef>
              <c:f>'Offer Calculator'!$U$19:$X$19</c:f>
              <c:numCache>
                <c:formatCode>"$"#,##0</c:formatCode>
                <c:ptCount val="4"/>
                <c:pt idx="0">
                  <c:v>101069.28</c:v>
                </c:pt>
                <c:pt idx="1">
                  <c:v>0</c:v>
                </c:pt>
                <c:pt idx="2">
                  <c:v>112288.8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0-434E-963C-5A6C81D24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0884944"/>
        <c:axId val="2130910384"/>
      </c:barChart>
      <c:catAx>
        <c:axId val="213088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910384"/>
        <c:crosses val="autoZero"/>
        <c:auto val="1"/>
        <c:lblAlgn val="ctr"/>
        <c:lblOffset val="100"/>
        <c:noMultiLvlLbl val="0"/>
      </c:catAx>
      <c:valAx>
        <c:axId val="213091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88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387809</xdr:colOff>
      <xdr:row>27</xdr:row>
      <xdr:rowOff>101861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6234-9843-4748-DD69-8ABAC24DB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22209" cy="5073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342546</xdr:colOff>
      <xdr:row>29</xdr:row>
      <xdr:rowOff>25752</xdr:rowOff>
    </xdr:from>
    <xdr:to>
      <xdr:col>10</xdr:col>
      <xdr:colOff>313971</xdr:colOff>
      <xdr:row>41</xdr:row>
      <xdr:rowOff>16228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D91331-C575-7845-03BA-1AF1E7253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311150</xdr:colOff>
      <xdr:row>41</xdr:row>
      <xdr:rowOff>0</xdr:rowOff>
    </xdr:from>
    <xdr:to>
      <xdr:col>10</xdr:col>
      <xdr:colOff>282575</xdr:colOff>
      <xdr:row>53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8B4C312-5A72-444B-A05A-5F3A6E3C9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vent Bakirci" id="{08D6371F-69C3-4EB6-BA3D-3DC70DE96EBA}" userId="S::lebakirc@microsoft.com::5996636d-d77b-4809-bd95-2d580b0b442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6" dT="2025-07-01T23:48:11.71" personId="{08D6371F-69C3-4EB6-BA3D-3DC70DE96EBA}" id="{26356ED3-B939-4467-B8DE-15BC3483445B}">
    <text>This amount dictates the Voucher/ECIF Funding</text>
  </threadedComment>
  <threadedComment ref="A15" dT="2025-06-28T13:43:04.45" personId="{08D6371F-69C3-4EB6-BA3D-3DC70DE96EBA}" id="{9DD1596C-F52D-491D-B8AE-91ACCD740106}">
    <text># of Months between first and second licence transaction events. For example, if customer buys 10% of licences and then wait 6 months to buy remaining licences. Enter 6 and 10%.
0 and 100% means upfront payment.</text>
  </threadedComment>
  <threadedComment ref="A31" dT="2025-07-01T23:48:49.21" personId="{08D6371F-69C3-4EB6-BA3D-3DC70DE96EBA}" id="{CA5119F6-9388-4599-83F6-60BC9F6A7603}">
    <text>These are default amounts - It may change on a case by case basis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5C79-6491-4F0A-8CA9-F55F380561DB}">
  <sheetPr>
    <tabColor rgb="FFFF0000"/>
  </sheetPr>
  <dimension ref="A1"/>
  <sheetViews>
    <sheetView tabSelected="1" workbookViewId="0"/>
  </sheetViews>
  <sheetFormatPr defaultRowHeight="14.4" x14ac:dyDescent="0.3"/>
  <cols>
    <col min="1" max="1" width="90.44140625" customWidth="1"/>
    <col min="3" max="3" width="14.77734375" customWidth="1"/>
  </cols>
  <sheetData>
    <row r="1" spans="1:1" ht="189" x14ac:dyDescent="0.4">
      <c r="A1" s="55" t="s">
        <v>0</v>
      </c>
    </row>
  </sheetData>
  <sheetProtection algorithmName="SHA-512" hashValue="BaEeHyR0U591V+Rm9lzG5FkA/zrtCyEc5H3/jlBsARdS8C7Bx+DuQ01Eqf8mK7SpYipHtoZvMB2JXjSmKXZLwg==" saltValue="F3NvHCJcsW9gCp5YnnEZ7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DCE1D-10A9-4BAB-A4D8-B2DF81BE6862}">
  <sheetPr>
    <tabColor rgb="FFFFC00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BB284-3AD4-431E-AE41-7990C3139E19}">
  <sheetPr>
    <tabColor rgb="FF002060"/>
  </sheetPr>
  <dimension ref="A1:XEW55"/>
  <sheetViews>
    <sheetView zoomScale="70" zoomScaleNormal="70" workbookViewId="0">
      <selection activeCell="U29" activeCellId="4" sqref="T5 U13:X13 U17:X17 U23 U29"/>
    </sheetView>
  </sheetViews>
  <sheetFormatPr defaultColWidth="8.77734375" defaultRowHeight="14.4" x14ac:dyDescent="0.3"/>
  <cols>
    <col min="1" max="1" width="65.44140625" style="1" customWidth="1"/>
    <col min="2" max="2" width="12.77734375" style="3" customWidth="1"/>
    <col min="3" max="3" width="6.21875" style="3" customWidth="1"/>
    <col min="4" max="4" width="18.21875" style="3" customWidth="1"/>
    <col min="5" max="5" width="5.77734375" style="1" customWidth="1"/>
    <col min="6" max="6" width="38.44140625" style="1" customWidth="1"/>
    <col min="7" max="7" width="11.21875" style="1" customWidth="1"/>
    <col min="8" max="8" width="15" style="1" customWidth="1"/>
    <col min="9" max="9" width="16.5546875" style="1" bestFit="1" customWidth="1"/>
    <col min="10" max="10" width="21.44140625" style="1" customWidth="1"/>
    <col min="11" max="20" width="8.77734375" style="1"/>
    <col min="21" max="22" width="8.77734375" style="1" bestFit="1" customWidth="1"/>
    <col min="23" max="23" width="9.77734375" style="1" bestFit="1" customWidth="1"/>
    <col min="24" max="24" width="8.77734375" style="1" bestFit="1" customWidth="1"/>
    <col min="25" max="16384" width="8.77734375" style="1"/>
  </cols>
  <sheetData>
    <row r="1" spans="1:24" x14ac:dyDescent="0.3">
      <c r="A1" s="15" t="s">
        <v>37</v>
      </c>
    </row>
    <row r="2" spans="1:24" x14ac:dyDescent="0.3">
      <c r="A2" s="47" t="s">
        <v>15</v>
      </c>
      <c r="F2" s="5"/>
      <c r="G2" s="4"/>
      <c r="H2" s="4"/>
      <c r="I2" s="4"/>
      <c r="J2" s="4"/>
    </row>
    <row r="3" spans="1:24" x14ac:dyDescent="0.3">
      <c r="A3" s="15" t="s">
        <v>45</v>
      </c>
      <c r="F3" s="15" t="s">
        <v>61</v>
      </c>
    </row>
    <row r="4" spans="1:24" x14ac:dyDescent="0.3">
      <c r="A4" s="47" t="s">
        <v>44</v>
      </c>
      <c r="F4" s="14"/>
      <c r="G4" s="16" t="s">
        <v>11</v>
      </c>
      <c r="H4" s="16" t="s">
        <v>12</v>
      </c>
      <c r="I4" s="16" t="s">
        <v>13</v>
      </c>
      <c r="J4" s="16" t="s">
        <v>30</v>
      </c>
    </row>
    <row r="5" spans="1:24" x14ac:dyDescent="0.3">
      <c r="A5" s="15" t="s">
        <v>60</v>
      </c>
      <c r="B5" s="5"/>
      <c r="C5" s="5"/>
      <c r="D5" s="5"/>
      <c r="F5" s="14"/>
      <c r="G5" s="9" t="s">
        <v>24</v>
      </c>
      <c r="H5" s="9" t="str">
        <f>IF(H6&gt;=$B$25,"Eligible","Not Eligible")</f>
        <v>Not Eligible</v>
      </c>
      <c r="I5" s="9" t="str">
        <f>IF(I6&gt;=B26,"Eligible","Not Eligible")</f>
        <v>Eligible</v>
      </c>
      <c r="J5" s="9" t="str">
        <f>IF(J6&gt;=B27,"Eligible","Not Eligible")</f>
        <v>Not Eligible</v>
      </c>
      <c r="T5" s="38" t="s">
        <v>25</v>
      </c>
      <c r="U5" s="39"/>
      <c r="V5" s="40"/>
      <c r="W5" s="40"/>
      <c r="X5" s="40"/>
    </row>
    <row r="6" spans="1:24" x14ac:dyDescent="0.3">
      <c r="A6" s="11" t="s">
        <v>43</v>
      </c>
      <c r="B6" s="22"/>
      <c r="C6" s="12"/>
      <c r="F6" s="7" t="s">
        <v>59</v>
      </c>
      <c r="G6" s="33">
        <f>'Offer Calculator'!U8</f>
        <v>52416</v>
      </c>
      <c r="H6" s="33">
        <f>'Offer Calculator'!U11</f>
        <v>52416</v>
      </c>
      <c r="I6" s="33">
        <f>'Offer Calculator'!$U$29*(1-$B$20)</f>
        <v>87360</v>
      </c>
      <c r="J6" s="33">
        <f>'Offer Calculator'!U11</f>
        <v>52416</v>
      </c>
      <c r="T6" s="40" t="s">
        <v>19</v>
      </c>
      <c r="U6" s="41">
        <f>U7*'Offer Calculator'!B16*'Offer Calculator'!B15+U7*(12-'Offer Calculator'!B15)</f>
        <v>74880</v>
      </c>
      <c r="V6" s="40"/>
      <c r="W6" s="40"/>
      <c r="X6" s="40"/>
    </row>
    <row r="7" spans="1:24" ht="14.55" customHeight="1" x14ac:dyDescent="0.3">
      <c r="A7" s="23" t="s">
        <v>1</v>
      </c>
      <c r="B7" s="21" t="s">
        <v>2</v>
      </c>
      <c r="C7" s="24" t="s">
        <v>3</v>
      </c>
      <c r="F7" s="7" t="s">
        <v>48</v>
      </c>
      <c r="G7" s="33">
        <f>G10*(1-B20)</f>
        <v>157248</v>
      </c>
      <c r="H7" s="33">
        <f>H6*3</f>
        <v>157248</v>
      </c>
      <c r="I7" s="33">
        <f>I6*3</f>
        <v>262080</v>
      </c>
      <c r="J7" s="33">
        <f>J6*3</f>
        <v>157248</v>
      </c>
      <c r="T7" s="42" t="s">
        <v>20</v>
      </c>
      <c r="U7" s="41">
        <f>('Offer Calculator'!U29-U9)/12</f>
        <v>6240</v>
      </c>
      <c r="V7" s="40"/>
      <c r="W7" s="40"/>
      <c r="X7" s="40"/>
    </row>
    <row r="8" spans="1:24" x14ac:dyDescent="0.3">
      <c r="A8" s="25" t="s">
        <v>4</v>
      </c>
      <c r="B8" s="48">
        <v>100</v>
      </c>
      <c r="C8" s="28">
        <f>IF($A$2="Pre Oct 1",100,110)</f>
        <v>100</v>
      </c>
      <c r="F8" s="7"/>
      <c r="G8" s="34"/>
      <c r="H8" s="35"/>
      <c r="I8" s="34"/>
      <c r="J8" s="34"/>
      <c r="T8" s="42" t="s">
        <v>21</v>
      </c>
      <c r="U8" s="41">
        <f>U6*(1-'Offer Calculator'!B20)</f>
        <v>52416</v>
      </c>
      <c r="V8" s="40"/>
      <c r="W8" s="40"/>
      <c r="X8" s="40"/>
    </row>
    <row r="9" spans="1:24" x14ac:dyDescent="0.3">
      <c r="A9" s="25" t="s">
        <v>5</v>
      </c>
      <c r="B9" s="48">
        <v>0</v>
      </c>
      <c r="C9" s="28">
        <f>IF($A$2="Pre Oct 1",70,80)</f>
        <v>70</v>
      </c>
      <c r="F9" s="7" t="s">
        <v>50</v>
      </c>
      <c r="G9" s="33">
        <f>'Offer Calculator'!U6</f>
        <v>74880</v>
      </c>
      <c r="H9" s="33">
        <f>'Offer Calculator'!U10</f>
        <v>74880</v>
      </c>
      <c r="I9" s="33">
        <f>'Offer Calculator'!U29*(1-$B$13)</f>
        <v>106080</v>
      </c>
      <c r="J9" s="33">
        <f>'Offer Calculator'!U10</f>
        <v>74880</v>
      </c>
      <c r="T9" s="42" t="s">
        <v>7</v>
      </c>
      <c r="U9" s="41">
        <f>SUM('Offer Calculator'!U24:U27)*0.4</f>
        <v>49920</v>
      </c>
      <c r="V9" s="40"/>
      <c r="W9" s="40"/>
      <c r="X9" s="40"/>
    </row>
    <row r="10" spans="1:24" x14ac:dyDescent="0.3">
      <c r="A10" s="25" t="s">
        <v>6</v>
      </c>
      <c r="B10" s="48">
        <v>50</v>
      </c>
      <c r="C10" s="28">
        <v>8</v>
      </c>
      <c r="F10" s="7" t="s">
        <v>49</v>
      </c>
      <c r="G10" s="33">
        <f>G9+'Offer Calculator'!U7*24</f>
        <v>224640</v>
      </c>
      <c r="H10" s="33">
        <f>H9*3</f>
        <v>224640</v>
      </c>
      <c r="I10" s="33">
        <f>I9*3</f>
        <v>318240</v>
      </c>
      <c r="J10" s="33">
        <f>J9*3</f>
        <v>224640</v>
      </c>
      <c r="T10" s="40" t="s">
        <v>22</v>
      </c>
      <c r="U10" s="41">
        <f>'Offer Calculator'!U29-U9</f>
        <v>74880</v>
      </c>
      <c r="V10" s="40"/>
      <c r="W10" s="40"/>
      <c r="X10" s="40"/>
    </row>
    <row r="11" spans="1:24" x14ac:dyDescent="0.3">
      <c r="A11" s="25" t="s">
        <v>10</v>
      </c>
      <c r="B11" s="48">
        <v>0</v>
      </c>
      <c r="C11" s="28">
        <f>IF(A2="Pre Oct 1",IF(B11&gt;=100,30,40),IF(B11&gt;=100,35,45))</f>
        <v>40</v>
      </c>
      <c r="F11" s="7"/>
      <c r="G11" s="34"/>
      <c r="H11" s="34"/>
      <c r="I11" s="34"/>
      <c r="J11" s="34"/>
      <c r="T11" s="42" t="s">
        <v>23</v>
      </c>
      <c r="U11" s="41">
        <f>U10*(1-'Offer Calculator'!B20)</f>
        <v>52416</v>
      </c>
      <c r="V11" s="40"/>
      <c r="W11" s="40"/>
      <c r="X11" s="40"/>
    </row>
    <row r="12" spans="1:24" x14ac:dyDescent="0.3">
      <c r="A12" s="25" t="s">
        <v>14</v>
      </c>
      <c r="B12" s="49">
        <v>0</v>
      </c>
      <c r="C12" s="26"/>
      <c r="F12" s="8" t="s">
        <v>31</v>
      </c>
      <c r="G12" s="36">
        <v>0</v>
      </c>
      <c r="H12" s="36" t="str">
        <f>IF(H6&gt;=$B$25,MIN(H6*$B$32,$B$29),"Not Eligible")</f>
        <v>Not Eligible</v>
      </c>
      <c r="I12" s="36">
        <f>IF(I6&gt;=$B$26,MIN(I6*$B$33,$B$28),"Not Eligible")</f>
        <v>87360</v>
      </c>
      <c r="J12" s="36" t="str">
        <f>IF(J6&gt;=$B$27,J6*B34,"Not Eligible")</f>
        <v>Not Eligible</v>
      </c>
      <c r="T12" s="40"/>
      <c r="U12" s="40"/>
      <c r="V12" s="40"/>
      <c r="W12" s="40"/>
      <c r="X12" s="40"/>
    </row>
    <row r="13" spans="1:24" x14ac:dyDescent="0.3">
      <c r="A13" s="18" t="s">
        <v>8</v>
      </c>
      <c r="B13" s="50">
        <v>0.15</v>
      </c>
      <c r="C13" s="6"/>
      <c r="F13" s="7"/>
      <c r="G13" s="34"/>
      <c r="H13" s="37"/>
      <c r="I13" s="34"/>
      <c r="J13" s="34"/>
      <c r="T13" s="42"/>
      <c r="U13" s="43" t="s">
        <v>11</v>
      </c>
      <c r="V13" s="43" t="s">
        <v>12</v>
      </c>
      <c r="W13" s="43" t="s">
        <v>13</v>
      </c>
      <c r="X13" s="43" t="s">
        <v>30</v>
      </c>
    </row>
    <row r="14" spans="1:24" x14ac:dyDescent="0.3">
      <c r="A14" s="18" t="s">
        <v>41</v>
      </c>
      <c r="B14" s="51"/>
      <c r="C14" s="6"/>
      <c r="F14" s="8" t="s">
        <v>51</v>
      </c>
      <c r="G14" s="36">
        <f>G9-G12</f>
        <v>74880</v>
      </c>
      <c r="H14" s="36" t="str">
        <f>IFERROR(H9-$H$12,"Not Eligible")</f>
        <v>Not Eligible</v>
      </c>
      <c r="I14" s="36">
        <f>IFERROR(I9-$I$12,"Not Eligible")</f>
        <v>18720</v>
      </c>
      <c r="J14" s="36" t="str">
        <f>IFERROR(J9-$J$12,"Not Eligible")</f>
        <v>Not Eligible</v>
      </c>
      <c r="T14" s="44" t="s">
        <v>55</v>
      </c>
      <c r="U14" s="45">
        <f>'Offer Calculator'!G14</f>
        <v>74880</v>
      </c>
      <c r="V14" s="45" t="str">
        <f>'Offer Calculator'!H14</f>
        <v>Not Eligible</v>
      </c>
      <c r="W14" s="45">
        <f>'Offer Calculator'!I14</f>
        <v>18720</v>
      </c>
      <c r="X14" s="45" t="str">
        <f>'Offer Calculator'!J14</f>
        <v>Not Eligible</v>
      </c>
    </row>
    <row r="15" spans="1:24" x14ac:dyDescent="0.3">
      <c r="A15" s="19" t="s">
        <v>17</v>
      </c>
      <c r="B15" s="47">
        <v>0</v>
      </c>
      <c r="C15" s="6"/>
      <c r="F15" s="8" t="s">
        <v>52</v>
      </c>
      <c r="G15" s="36">
        <f>G10-G12</f>
        <v>224640</v>
      </c>
      <c r="H15" s="36" t="str">
        <f>IFERROR(H10-$H$12,"Not Eligible")</f>
        <v>Not Eligible</v>
      </c>
      <c r="I15" s="36">
        <f>IFERROR(I10-$I$12,"Not Eligible")</f>
        <v>230880</v>
      </c>
      <c r="J15" s="36" t="str">
        <f>IFERROR(J10-$J$12,"Not Eligible")</f>
        <v>Not Eligible</v>
      </c>
      <c r="T15" s="44" t="s">
        <v>56</v>
      </c>
      <c r="U15" s="45">
        <f>'Offer Calculator'!G15</f>
        <v>224640</v>
      </c>
      <c r="V15" s="45" t="str">
        <f>'Offer Calculator'!H15</f>
        <v>Not Eligible</v>
      </c>
      <c r="W15" s="45">
        <f>'Offer Calculator'!I15</f>
        <v>230880</v>
      </c>
      <c r="X15" s="45" t="str">
        <f>'Offer Calculator'!J15</f>
        <v>Not Eligible</v>
      </c>
    </row>
    <row r="16" spans="1:24" x14ac:dyDescent="0.3">
      <c r="A16" s="20" t="s">
        <v>16</v>
      </c>
      <c r="B16" s="52">
        <v>1</v>
      </c>
      <c r="C16" s="27"/>
      <c r="F16" s="7"/>
      <c r="G16" s="34"/>
      <c r="H16" s="37"/>
      <c r="I16" s="34"/>
      <c r="J16" s="34"/>
      <c r="T16" s="40"/>
      <c r="U16" s="40"/>
      <c r="V16" s="40"/>
      <c r="W16" s="40"/>
      <c r="X16" s="40"/>
    </row>
    <row r="17" spans="1:24 16377:16377" x14ac:dyDescent="0.3">
      <c r="F17" s="8" t="s">
        <v>53</v>
      </c>
      <c r="G17" s="36">
        <f>IFERROR(SUM(G18+G19+G20+G21),"Not Eligible")</f>
        <v>45658.079999999994</v>
      </c>
      <c r="H17" s="36" t="str">
        <f t="shared" ref="H17:J17" si="0">IFERROR(SUM(H18+H19+H20+H21),"Not Eligible")</f>
        <v>Not Eligible</v>
      </c>
      <c r="I17" s="36">
        <f t="shared" si="0"/>
        <v>49077.599999999999</v>
      </c>
      <c r="J17" s="36" t="str">
        <f t="shared" si="0"/>
        <v>Not Eligible</v>
      </c>
      <c r="T17" s="42"/>
      <c r="U17" s="43" t="s">
        <v>11</v>
      </c>
      <c r="V17" s="43" t="s">
        <v>12</v>
      </c>
      <c r="W17" s="43" t="s">
        <v>13</v>
      </c>
      <c r="X17" s="43" t="s">
        <v>30</v>
      </c>
    </row>
    <row r="18" spans="1:24 16377:16377" x14ac:dyDescent="0.3">
      <c r="A18" s="11" t="s">
        <v>35</v>
      </c>
      <c r="B18" s="17"/>
      <c r="F18" s="7" t="s">
        <v>26</v>
      </c>
      <c r="G18" s="33">
        <f>G9-G6</f>
        <v>22464</v>
      </c>
      <c r="H18" s="33" t="str">
        <f>IF(H5="Eligible",H9-H6,"Not Eligible")</f>
        <v>Not Eligible</v>
      </c>
      <c r="I18" s="33">
        <f t="shared" ref="I18:J18" si="1">IF(I5="Eligible",I9-I6,"Not Eligible")</f>
        <v>18720</v>
      </c>
      <c r="J18" s="33" t="str">
        <f t="shared" si="1"/>
        <v>Not Eligible</v>
      </c>
      <c r="T18" s="44" t="s">
        <v>55</v>
      </c>
      <c r="U18" s="45">
        <f>'Offer Calculator'!G17</f>
        <v>45658.079999999994</v>
      </c>
      <c r="V18" s="45" t="str">
        <f>'Offer Calculator'!H17</f>
        <v>Not Eligible</v>
      </c>
      <c r="W18" s="45">
        <f>'Offer Calculator'!I17</f>
        <v>49077.599999999999</v>
      </c>
      <c r="X18" s="45" t="str">
        <f>'Offer Calculator'!J17</f>
        <v>Not Eligible</v>
      </c>
    </row>
    <row r="19" spans="1:24 16377:16377" x14ac:dyDescent="0.3">
      <c r="A19" s="18" t="s">
        <v>42</v>
      </c>
      <c r="B19" s="6"/>
      <c r="F19" s="10" t="s">
        <v>27</v>
      </c>
      <c r="G19" s="33">
        <f>IF($A$4="Yes",IF(G$5="Eligible",G$7*B21,"Not Eligible"),0)</f>
        <v>7469.28</v>
      </c>
      <c r="H19" s="33" t="str">
        <f>IF($H$5="Eligible",H$6*$B21,"Not Eligible")</f>
        <v>Not Eligible</v>
      </c>
      <c r="I19" s="33">
        <f>IF($I$5="Eligible",I$6*$B21,"Not Eligible")</f>
        <v>4149.6000000000004</v>
      </c>
      <c r="J19" s="33" t="str">
        <f>IF($J$5="Eligible",J$6*$B21,"Not Eligible")</f>
        <v>Not Eligible</v>
      </c>
      <c r="T19" s="44" t="s">
        <v>56</v>
      </c>
      <c r="U19" s="45">
        <f>'Offer Calculator'!G23</f>
        <v>101069.28</v>
      </c>
      <c r="V19" s="45" t="str">
        <f>'Offer Calculator'!H23</f>
        <v>Not Eligible</v>
      </c>
      <c r="W19" s="45">
        <f>'Offer Calculator'!I23</f>
        <v>112288.8</v>
      </c>
      <c r="X19" s="45" t="str">
        <f>'Offer Calculator'!J23</f>
        <v>Not Eligible</v>
      </c>
    </row>
    <row r="20" spans="1:24 16377:16377" x14ac:dyDescent="0.3">
      <c r="A20" s="1" t="s">
        <v>9</v>
      </c>
      <c r="B20" s="29">
        <v>0.3</v>
      </c>
      <c r="F20" s="10" t="s">
        <v>28</v>
      </c>
      <c r="G20" s="33">
        <f>G$6*$B22</f>
        <v>10483.200000000001</v>
      </c>
      <c r="H20" s="33" t="str">
        <f>IF($H$5="Eligible",H$6*$B22,"Not Eligible")</f>
        <v>Not Eligible</v>
      </c>
      <c r="I20" s="33">
        <f>IF($I$5="Eligible",I$6*$B22,"Not Eligible")</f>
        <v>17472</v>
      </c>
      <c r="J20" s="33" t="str">
        <f>IF($J$5="Eligible",J$6*$B22,"Not Eligible")</f>
        <v>Not Eligible</v>
      </c>
      <c r="T20" s="40"/>
      <c r="U20" s="40"/>
      <c r="V20" s="40"/>
      <c r="W20" s="40"/>
      <c r="X20" s="40"/>
    </row>
    <row r="21" spans="1:24 16377:16377" x14ac:dyDescent="0.3">
      <c r="A21" s="13" t="s">
        <v>27</v>
      </c>
      <c r="B21" s="30">
        <f>IF($A$2="Pre Oct 1",4.75%,4%)</f>
        <v>4.7500000000000001E-2</v>
      </c>
      <c r="C21" s="53"/>
      <c r="F21" s="10" t="s">
        <v>29</v>
      </c>
      <c r="G21" s="33">
        <f>G$6*$B23</f>
        <v>5241.6000000000004</v>
      </c>
      <c r="H21" s="33" t="str">
        <f>IF($H$5="Eligible",H$6*$B23,"Not Eligible")</f>
        <v>Not Eligible</v>
      </c>
      <c r="I21" s="33">
        <f>IF($I$5="Eligible",I$6*$B23,"Not Eligible")</f>
        <v>8736</v>
      </c>
      <c r="J21" s="33" t="str">
        <f>IF($J$5="Eligible",J$6*$B23,"Not Eligible")</f>
        <v>Not Eligible</v>
      </c>
      <c r="T21" s="40"/>
      <c r="U21" s="40"/>
      <c r="V21" s="40"/>
      <c r="W21" s="40"/>
      <c r="X21" s="40"/>
    </row>
    <row r="22" spans="1:24 16377:16377" x14ac:dyDescent="0.3">
      <c r="A22" s="13" t="s">
        <v>62</v>
      </c>
      <c r="B22" s="30">
        <f>IF($A$2="Pre Oct 1",20%,7.5%)</f>
        <v>0.2</v>
      </c>
      <c r="C22" s="54"/>
      <c r="F22" s="7"/>
      <c r="G22" s="34"/>
      <c r="H22" s="37"/>
      <c r="I22" s="34"/>
      <c r="J22" s="34"/>
      <c r="T22" s="40"/>
      <c r="U22" s="40"/>
      <c r="V22" s="40"/>
      <c r="W22" s="40"/>
      <c r="X22" s="40"/>
    </row>
    <row r="23" spans="1:24 16377:16377" x14ac:dyDescent="0.3">
      <c r="A23" s="13" t="s">
        <v>63</v>
      </c>
      <c r="B23" s="30">
        <f>IF($A$2="Pre Oct 1",10%,8%)</f>
        <v>0.1</v>
      </c>
      <c r="C23" s="53"/>
      <c r="F23" s="8" t="s">
        <v>54</v>
      </c>
      <c r="G23" s="36">
        <f>IFERROR(SUM(G24+G25+G26+G27),"Not Eligible")</f>
        <v>101069.28</v>
      </c>
      <c r="H23" s="36" t="str">
        <f t="shared" ref="H23" si="2">IFERROR(SUM(H24+H25+H26+H27),"Not Eligible")</f>
        <v>Not Eligible</v>
      </c>
      <c r="I23" s="36">
        <f t="shared" ref="I23" si="3">IFERROR(SUM(I24+I25+I26+I27),"Not Eligible")</f>
        <v>112288.8</v>
      </c>
      <c r="J23" s="36" t="str">
        <f t="shared" ref="J23" si="4">IFERROR(SUM(J24+J25+J26+J27),"Not Eligible")</f>
        <v>Not Eligible</v>
      </c>
      <c r="T23" s="40"/>
      <c r="U23" s="43" t="s">
        <v>18</v>
      </c>
      <c r="V23" s="40"/>
      <c r="W23" s="40"/>
      <c r="X23" s="40"/>
    </row>
    <row r="24" spans="1:24 16377:16377" x14ac:dyDescent="0.3">
      <c r="A24" s="18" t="s">
        <v>36</v>
      </c>
      <c r="B24" s="6"/>
      <c r="F24" s="7" t="s">
        <v>26</v>
      </c>
      <c r="G24" s="33">
        <f>IF(G$5="Eligible",G10-G7,"Not Eligible")</f>
        <v>67392</v>
      </c>
      <c r="H24" s="33" t="str">
        <f t="shared" ref="H24:J24" si="5">IF(H$5="Eligible",H10-H7,"Not Eligible")</f>
        <v>Not Eligible</v>
      </c>
      <c r="I24" s="33">
        <f t="shared" si="5"/>
        <v>56160</v>
      </c>
      <c r="J24" s="33" t="str">
        <f t="shared" si="5"/>
        <v>Not Eligible</v>
      </c>
      <c r="T24" s="40"/>
      <c r="U24" s="41">
        <f>'Offer Calculator'!B8*'Offer Calculator'!C8*12</f>
        <v>120000</v>
      </c>
      <c r="V24" s="40"/>
      <c r="W24" s="40"/>
      <c r="X24" s="40"/>
    </row>
    <row r="25" spans="1:24 16377:16377" x14ac:dyDescent="0.3">
      <c r="A25" s="19" t="s">
        <v>32</v>
      </c>
      <c r="B25" s="31">
        <v>100000</v>
      </c>
      <c r="F25" s="10" t="s">
        <v>27</v>
      </c>
      <c r="G25" s="33">
        <f>IF($A$4="Yes",IF(G$5="Eligible",G$7*$B21,"Not Eligible"),0)</f>
        <v>7469.28</v>
      </c>
      <c r="H25" s="33" t="str">
        <f>IF($A$4="Yes",IF(H$5="Eligible",H$7*$B21,"Not Eligible"),0)</f>
        <v>Not Eligible</v>
      </c>
      <c r="I25" s="33">
        <f>IF($A$4="Yes",IF(I$5="Eligible",I$7*$B21,"Not Eligible"),0)</f>
        <v>12448.8</v>
      </c>
      <c r="J25" s="33" t="str">
        <f>IF($A$4="Yes",IF(J$5="Eligible",J$7*$B21,"Not Eligible"),0)</f>
        <v>Not Eligible</v>
      </c>
      <c r="T25" s="40"/>
      <c r="U25" s="41">
        <f>'Offer Calculator'!B9*'Offer Calculator'!C9*12</f>
        <v>0</v>
      </c>
      <c r="V25" s="40"/>
      <c r="W25" s="40"/>
      <c r="X25" s="40"/>
    </row>
    <row r="26" spans="1:24 16377:16377" x14ac:dyDescent="0.3">
      <c r="A26" s="19" t="s">
        <v>33</v>
      </c>
      <c r="B26" s="31">
        <v>50000</v>
      </c>
      <c r="F26" s="10" t="s">
        <v>28</v>
      </c>
      <c r="G26" s="33">
        <f>IF($A$4="Yes",IF(G$5="Eligible",G20,"Not Eligible"),0)</f>
        <v>10483.200000000001</v>
      </c>
      <c r="H26" s="33" t="str">
        <f t="shared" ref="H26:J26" si="6">IF($A$4="Yes",IF(H$5="Eligible",H20,"Not Eligible"),0)</f>
        <v>Not Eligible</v>
      </c>
      <c r="I26" s="33">
        <f t="shared" si="6"/>
        <v>17472</v>
      </c>
      <c r="J26" s="33" t="str">
        <f t="shared" si="6"/>
        <v>Not Eligible</v>
      </c>
      <c r="T26" s="40"/>
      <c r="U26" s="41">
        <f>'Offer Calculator'!B10*'Offer Calculator'!C10*12</f>
        <v>4800</v>
      </c>
      <c r="V26" s="40"/>
      <c r="W26" s="40"/>
      <c r="X26" s="40"/>
      <c r="XEW26" s="2"/>
    </row>
    <row r="27" spans="1:24 16377:16377" x14ac:dyDescent="0.3">
      <c r="A27" s="19" t="s">
        <v>34</v>
      </c>
      <c r="B27" s="31">
        <v>150000</v>
      </c>
      <c r="F27" s="10" t="s">
        <v>29</v>
      </c>
      <c r="G27" s="33">
        <f>IF($A$4="Yes",IF(G$5="Eligible",G$7*$B23,"Not Eligible"),0)</f>
        <v>15724.800000000001</v>
      </c>
      <c r="H27" s="33" t="str">
        <f>IF($A$4="Yes",IF(H$5="Eligible",H$7*$B23,"Not Eligible"),0)</f>
        <v>Not Eligible</v>
      </c>
      <c r="I27" s="33">
        <f>IF($A$4="Yes",IF(I$5="Eligible",I$7*$B23,"Not Eligible"),0)</f>
        <v>26208</v>
      </c>
      <c r="J27" s="33" t="str">
        <f>IF($A$4="Yes",IF(J$5="Eligible",J$7*$B23,"Not Eligible"),0)</f>
        <v>Not Eligible</v>
      </c>
      <c r="T27" s="40"/>
      <c r="U27" s="41">
        <f>'Offer Calculator'!B11*'Offer Calculator'!C11*12</f>
        <v>0</v>
      </c>
      <c r="V27" s="40"/>
      <c r="W27" s="40"/>
      <c r="X27" s="40"/>
    </row>
    <row r="28" spans="1:24 16377:16377" x14ac:dyDescent="0.3">
      <c r="A28" s="19" t="s">
        <v>46</v>
      </c>
      <c r="B28" s="31">
        <v>150000</v>
      </c>
      <c r="T28" s="40"/>
      <c r="U28" s="41"/>
      <c r="V28" s="40"/>
      <c r="W28" s="40"/>
      <c r="X28" s="40"/>
    </row>
    <row r="29" spans="1:24 16377:16377" x14ac:dyDescent="0.3">
      <c r="A29" s="19" t="s">
        <v>47</v>
      </c>
      <c r="B29" s="31">
        <v>100000</v>
      </c>
      <c r="T29" s="40"/>
      <c r="U29" s="46">
        <f>SUM(U24:U27)+'Offer Calculator'!B12</f>
        <v>124800</v>
      </c>
      <c r="V29" s="40"/>
      <c r="W29" s="40"/>
      <c r="X29" s="40"/>
    </row>
    <row r="30" spans="1:24 16377:16377" x14ac:dyDescent="0.3">
      <c r="A30" s="1" t="s">
        <v>58</v>
      </c>
      <c r="B30" s="6"/>
      <c r="C30" s="1"/>
      <c r="D30" s="1"/>
    </row>
    <row r="31" spans="1:24 16377:16377" x14ac:dyDescent="0.3">
      <c r="A31" s="18" t="s">
        <v>57</v>
      </c>
      <c r="B31" s="6"/>
      <c r="C31" s="1"/>
      <c r="D31" s="1"/>
    </row>
    <row r="32" spans="1:24 16377:16377" x14ac:dyDescent="0.3">
      <c r="A32" s="19" t="s">
        <v>38</v>
      </c>
      <c r="B32" s="29">
        <v>0.2</v>
      </c>
      <c r="C32" s="1"/>
      <c r="D32" s="1"/>
    </row>
    <row r="33" spans="1:4" x14ac:dyDescent="0.3">
      <c r="A33" s="19" t="s">
        <v>39</v>
      </c>
      <c r="B33" s="29">
        <v>1</v>
      </c>
    </row>
    <row r="34" spans="1:4" x14ac:dyDescent="0.3">
      <c r="A34" s="20" t="s">
        <v>40</v>
      </c>
      <c r="B34" s="32">
        <v>1</v>
      </c>
    </row>
    <row r="35" spans="1:4" x14ac:dyDescent="0.3">
      <c r="B35" s="1"/>
    </row>
    <row r="38" spans="1:4" x14ac:dyDescent="0.3">
      <c r="B38" s="1"/>
    </row>
    <row r="39" spans="1:4" x14ac:dyDescent="0.3">
      <c r="B39" s="1"/>
    </row>
    <row r="40" spans="1:4" x14ac:dyDescent="0.3">
      <c r="B40" s="1"/>
      <c r="C40" s="1"/>
    </row>
    <row r="41" spans="1:4" x14ac:dyDescent="0.3">
      <c r="B41" s="1"/>
      <c r="C41" s="1"/>
      <c r="D41" s="1"/>
    </row>
    <row r="42" spans="1:4" x14ac:dyDescent="0.3">
      <c r="B42" s="1"/>
      <c r="C42" s="1"/>
      <c r="D42" s="1"/>
    </row>
    <row r="43" spans="1:4" x14ac:dyDescent="0.3">
      <c r="B43" s="1"/>
      <c r="C43" s="1"/>
      <c r="D43" s="1"/>
    </row>
    <row r="44" spans="1:4" x14ac:dyDescent="0.3">
      <c r="B44" s="1"/>
      <c r="C44" s="1"/>
      <c r="D44" s="1"/>
    </row>
    <row r="45" spans="1:4" x14ac:dyDescent="0.3">
      <c r="B45" s="1"/>
      <c r="C45" s="1"/>
      <c r="D45" s="1"/>
    </row>
    <row r="46" spans="1:4" x14ac:dyDescent="0.3">
      <c r="B46" s="1"/>
      <c r="C46" s="1"/>
      <c r="D46" s="1"/>
    </row>
    <row r="47" spans="1:4" x14ac:dyDescent="0.3">
      <c r="B47" s="1"/>
      <c r="C47" s="1"/>
      <c r="D47" s="1"/>
    </row>
    <row r="48" spans="1:4" x14ac:dyDescent="0.3">
      <c r="B48" s="1"/>
      <c r="C48" s="1"/>
      <c r="D48" s="1"/>
    </row>
    <row r="49" spans="2:4" x14ac:dyDescent="0.3">
      <c r="B49" s="1"/>
      <c r="C49" s="1"/>
      <c r="D49" s="1"/>
    </row>
    <row r="50" spans="2:4" x14ac:dyDescent="0.3">
      <c r="B50" s="1"/>
      <c r="C50" s="1"/>
      <c r="D50" s="1"/>
    </row>
    <row r="51" spans="2:4" x14ac:dyDescent="0.3">
      <c r="B51" s="1"/>
      <c r="C51" s="1"/>
      <c r="D51" s="1"/>
    </row>
    <row r="52" spans="2:4" x14ac:dyDescent="0.3">
      <c r="B52" s="1"/>
      <c r="C52" s="1"/>
      <c r="D52" s="1"/>
    </row>
    <row r="53" spans="2:4" x14ac:dyDescent="0.3">
      <c r="B53" s="1"/>
      <c r="C53" s="1"/>
      <c r="D53" s="1"/>
    </row>
    <row r="54" spans="2:4" x14ac:dyDescent="0.3">
      <c r="B54" s="1"/>
      <c r="C54" s="1"/>
      <c r="D54" s="1"/>
    </row>
    <row r="55" spans="2:4" x14ac:dyDescent="0.3">
      <c r="D55" s="1"/>
    </row>
  </sheetData>
  <sheetProtection algorithmName="SHA-512" hashValue="U5HT2i27fFe77WhyZQmgG/AgTcYIq+aV1myw4XoxdOJpSljhdY7sR34OMr8cYibRAOtlQV6HlNN+KQrtKInAPw==" saltValue="tUP730R7fmsAsmYxOl/58g==" spinCount="100000" sheet="1" objects="1" scenarios="1"/>
  <conditionalFormatting sqref="G5:J5">
    <cfRule type="notContainsText" dxfId="1" priority="1" stopIfTrue="1" operator="notContains" text="Not">
      <formula>ISERROR(SEARCH("Not",G5))</formula>
    </cfRule>
    <cfRule type="containsText" dxfId="0" priority="2" stopIfTrue="1" operator="containsText" text="Not">
      <formula>NOT(ISERROR(SEARCH("Not",G5)))</formula>
    </cfRule>
  </conditionalFormatting>
  <dataValidations count="3">
    <dataValidation type="list" allowBlank="1" showInputMessage="1" showErrorMessage="1" sqref="A2" xr:uid="{A36DF01F-9D9D-4466-AABB-B7ABB19BAAC8}">
      <formula1>"Pre Oct 1, Post Oct 1"</formula1>
    </dataValidation>
    <dataValidation type="list" allowBlank="1" showInputMessage="1" showErrorMessage="1" sqref="B15" xr:uid="{2B283971-4886-4C99-8ADB-9B238E1C2657}">
      <formula1>"0,1,2,3,4,5,6,7,8,9,10,11,12"</formula1>
    </dataValidation>
    <dataValidation type="list" allowBlank="1" showInputMessage="1" showErrorMessage="1" sqref="A4" xr:uid="{6B2BC9FF-BE47-4E50-8250-67A9601682CB}">
      <formula1>"Yes, No"</formula1>
    </dataValidation>
  </dataValidations>
  <pageMargins left="0.7" right="0.7" top="0.75" bottom="0.75" header="0.3" footer="0.3"/>
  <ignoredErrors>
    <ignoredError sqref="I9 G26:J26 I6" formula="1"/>
  </ignoredErrors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D21BD37E45B44A886D83DD8CF0B52E" ma:contentTypeVersion="17" ma:contentTypeDescription="Create a new document." ma:contentTypeScope="" ma:versionID="20270bd0fe946966a619b2cd3fa04f14">
  <xsd:schema xmlns:xsd="http://www.w3.org/2001/XMLSchema" xmlns:xs="http://www.w3.org/2001/XMLSchema" xmlns:p="http://schemas.microsoft.com/office/2006/metadata/properties" xmlns:ns1="http://schemas.microsoft.com/sharepoint/v3" xmlns:ns2="57dbcbae-2375-4ec9-959b-ab7299756a97" xmlns:ns3="f5a6728d-41f0-43e2-8639-90f3207ce687" targetNamespace="http://schemas.microsoft.com/office/2006/metadata/properties" ma:root="true" ma:fieldsID="1a1d26f4088b341c80fc39d45b4657be" ns1:_="" ns2:_="" ns3:_="">
    <xsd:import namespace="http://schemas.microsoft.com/sharepoint/v3"/>
    <xsd:import namespace="57dbcbae-2375-4ec9-959b-ab7299756a97"/>
    <xsd:import namespace="f5a6728d-41f0-43e2-8639-90f3207ce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bcbae-2375-4ec9-959b-ab7299756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6728d-41f0-43e2-8639-90f3207ce68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57932b2-13d8-48e5-85e7-5946ed423d97}" ma:internalName="TaxCatchAll" ma:showField="CatchAllData" ma:web="f5a6728d-41f0-43e2-8639-90f3207ce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7dbcbae-2375-4ec9-959b-ab7299756a97">
      <Terms xmlns="http://schemas.microsoft.com/office/infopath/2007/PartnerControls"/>
    </lcf76f155ced4ddcb4097134ff3c332f>
    <TaxCatchAll xmlns="f5a6728d-41f0-43e2-8639-90f3207ce687" xsi:nil="true"/>
  </documentManagement>
</p:properties>
</file>

<file path=customXml/itemProps1.xml><?xml version="1.0" encoding="utf-8"?>
<ds:datastoreItem xmlns:ds="http://schemas.openxmlformats.org/officeDocument/2006/customXml" ds:itemID="{21E34F7D-513E-45FF-88E2-F07106135A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3A16A4-766F-447D-B9AD-DBF7AF5DD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dbcbae-2375-4ec9-959b-ab7299756a97"/>
    <ds:schemaRef ds:uri="f5a6728d-41f0-43e2-8639-90f3207ce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53774-0510-4ACE-A9C9-BCBA5E31DD79}">
  <ds:schemaRefs>
    <ds:schemaRef ds:uri="http://schemas.microsoft.com/sharepoint/v3"/>
    <ds:schemaRef ds:uri="http://purl.org/dc/dcmitype/"/>
    <ds:schemaRef ds:uri="http://purl.org/dc/elements/1.1/"/>
    <ds:schemaRef ds:uri="57dbcbae-2375-4ec9-959b-ab7299756a97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5a6728d-41f0-43e2-8639-90f3207ce687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Privilege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Disclaimer</vt:lpstr>
      <vt:lpstr>Overview of Migration Offers</vt:lpstr>
      <vt:lpstr>Offer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Cecilia Flombaum</dc:creator>
  <cp:keywords/>
  <dc:description/>
  <cp:lastModifiedBy>Sandi Olson (NAYAMODE INC)</cp:lastModifiedBy>
  <cp:revision/>
  <dcterms:created xsi:type="dcterms:W3CDTF">2023-11-21T19:59:20Z</dcterms:created>
  <dcterms:modified xsi:type="dcterms:W3CDTF">2025-07-18T18:34:32Z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0x01010073D21BD37E45B44A886D83DD8CF0B52E</vt:lpwstr>
  </property>
  <property fmtid="{D5CDD505-2E9C-101B-9397-08002B2CF9AE}" pid="3" name="MediaServiceImageTags">
    <vt:lpwstr/>
  </property>
</Properties>
</file>